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8472" windowHeight="61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Rajagopal</author>
    <author>raj1</author>
  </authors>
  <commentList>
    <comment ref="B5" authorId="0">
      <text>
        <r>
          <rPr>
            <b/>
            <sz val="8"/>
            <rFont val="Tahoma"/>
            <family val="0"/>
          </rPr>
          <t>Height of retaining wall (m)</t>
        </r>
      </text>
    </comment>
    <comment ref="B6" authorId="0">
      <text>
        <r>
          <rPr>
            <b/>
            <sz val="8"/>
            <rFont val="Tahoma"/>
            <family val="0"/>
          </rPr>
          <t>cohesion of soil</t>
        </r>
      </text>
    </comment>
    <comment ref="B7" authorId="0">
      <text>
        <r>
          <rPr>
            <sz val="8"/>
            <rFont val="Tahoma"/>
            <family val="0"/>
          </rPr>
          <t xml:space="preserve">friction angle of reinforced fill soil
</t>
        </r>
      </text>
    </comment>
    <comment ref="B8" authorId="0">
      <text>
        <r>
          <rPr>
            <b/>
            <sz val="8"/>
            <rFont val="Tahoma"/>
            <family val="0"/>
          </rPr>
          <t>friction angle of back-fill soil</t>
        </r>
      </text>
    </comment>
    <comment ref="B9" authorId="0">
      <text>
        <r>
          <rPr>
            <b/>
            <sz val="8"/>
            <rFont val="Tahoma"/>
            <family val="0"/>
          </rPr>
          <t>unit weight of backfill soil</t>
        </r>
      </text>
    </comment>
    <comment ref="B10" authorId="0">
      <text>
        <r>
          <rPr>
            <b/>
            <sz val="8"/>
            <rFont val="Tahoma"/>
            <family val="0"/>
          </rPr>
          <t>unit weight of infill soil</t>
        </r>
      </text>
    </comment>
    <comment ref="B11" authorId="0">
      <text>
        <r>
          <rPr>
            <b/>
            <sz val="8"/>
            <rFont val="Tahoma"/>
            <family val="0"/>
          </rPr>
          <t>interaction parameter for pullout calculations</t>
        </r>
      </text>
    </comment>
    <comment ref="B12" authorId="0">
      <text>
        <r>
          <rPr>
            <b/>
            <sz val="8"/>
            <rFont val="Tahoma"/>
            <family val="0"/>
          </rPr>
          <t>allowable bearing pressure of foundation soil</t>
        </r>
      </text>
    </comment>
    <comment ref="B13" authorId="0">
      <text>
        <r>
          <rPr>
            <b/>
            <sz val="8"/>
            <rFont val="Tahoma"/>
            <family val="0"/>
          </rPr>
          <t>permanent surcharge</t>
        </r>
      </text>
    </comment>
    <comment ref="B14" authorId="0">
      <text>
        <r>
          <rPr>
            <b/>
            <sz val="8"/>
            <rFont val="Tahoma"/>
            <family val="0"/>
          </rPr>
          <t>live load surcharge</t>
        </r>
      </text>
    </comment>
    <comment ref="B15" authorId="0">
      <text>
        <r>
          <rPr>
            <b/>
            <sz val="8"/>
            <rFont val="Tahoma"/>
            <family val="0"/>
          </rPr>
          <t>length of reinforced block</t>
        </r>
      </text>
    </comment>
    <comment ref="B20" authorId="0">
      <text>
        <r>
          <rPr>
            <b/>
            <sz val="8"/>
            <rFont val="Tahoma"/>
            <family val="0"/>
          </rPr>
          <t>active lateral earth coefficient of backfill soil</t>
        </r>
      </text>
    </comment>
    <comment ref="B22" authorId="0">
      <text>
        <r>
          <rPr>
            <b/>
            <sz val="8"/>
            <rFont val="Tahoma"/>
            <family val="0"/>
          </rPr>
          <t>active lateral force due to self weight
=0.5*Ka*gm*H*H</t>
        </r>
      </text>
    </comment>
    <comment ref="B23" authorId="0">
      <text>
        <r>
          <rPr>
            <b/>
            <sz val="8"/>
            <rFont val="Tahoma"/>
            <family val="0"/>
          </rPr>
          <t>active lateral force due to surcharge = Ka.q.H</t>
        </r>
      </text>
    </comment>
    <comment ref="E5" authorId="0">
      <text>
        <r>
          <rPr>
            <b/>
            <sz val="8"/>
            <rFont val="Tahoma"/>
            <family val="0"/>
          </rPr>
          <t>long term allowable design strength of the reinforcement</t>
        </r>
      </text>
    </comment>
    <comment ref="E6" authorId="0">
      <text>
        <r>
          <rPr>
            <b/>
            <sz val="8"/>
            <rFont val="Tahoma"/>
            <family val="0"/>
          </rPr>
          <t>thickness of soil compaction layers (m)</t>
        </r>
      </text>
    </comment>
    <comment ref="E12" authorId="0">
      <text>
        <r>
          <rPr>
            <b/>
            <sz val="8"/>
            <rFont val="Tahoma"/>
            <family val="0"/>
          </rPr>
          <t>Significant depth over which the effect of lateral load is felt on reinforcement layers</t>
        </r>
      </text>
    </comment>
    <comment ref="E9" authorId="0">
      <text>
        <r>
          <rPr>
            <b/>
            <sz val="8"/>
            <rFont val="Tahoma"/>
            <family val="0"/>
          </rPr>
          <t>footing width</t>
        </r>
      </text>
    </comment>
    <comment ref="E10" authorId="0">
      <text>
        <r>
          <rPr>
            <b/>
            <sz val="8"/>
            <rFont val="Tahoma"/>
            <family val="0"/>
          </rPr>
          <t>distance to edge of footing from front</t>
        </r>
      </text>
    </comment>
    <comment ref="E11" authorId="0">
      <text>
        <r>
          <rPr>
            <b/>
            <sz val="8"/>
            <rFont val="Tahoma"/>
            <family val="0"/>
          </rPr>
          <t>Effective load =
vertical applied load - surcharge*(front dist.+footing width),
cannot be negative !!</t>
        </r>
      </text>
    </comment>
    <comment ref="H5" authorId="0">
      <text>
        <r>
          <rPr>
            <b/>
            <sz val="8"/>
            <rFont val="Tahoma"/>
            <family val="0"/>
          </rPr>
          <t xml:space="preserve">value of </t>
        </r>
        <r>
          <rPr>
            <b/>
            <sz val="8"/>
            <rFont val="Symbol"/>
            <family val="1"/>
          </rPr>
          <t>p</t>
        </r>
        <r>
          <rPr>
            <b/>
            <sz val="8"/>
            <rFont val="Tahoma"/>
            <family val="0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0"/>
          </rPr>
          <t>peak ground acceleration, a</t>
        </r>
      </text>
    </comment>
    <comment ref="F15" authorId="0">
      <text>
        <r>
          <rPr>
            <b/>
            <sz val="8"/>
            <rFont val="Tahoma"/>
            <family val="0"/>
          </rPr>
          <t>average acceleration in the soil
am=(1.45-a)*a</t>
        </r>
      </text>
    </comment>
    <comment ref="E20" authorId="0">
      <text>
        <r>
          <rPr>
            <b/>
            <sz val="8"/>
            <rFont val="Tahoma"/>
            <family val="0"/>
          </rPr>
          <t>seismic external force due to inertia of fill soil = 0.5*am*g*H*H</t>
        </r>
      </text>
    </comment>
    <comment ref="E21" authorId="0">
      <text>
        <r>
          <rPr>
            <b/>
            <sz val="8"/>
            <rFont val="Tahoma"/>
            <family val="0"/>
          </rPr>
          <t>lateral thrust from backfill soil due to seismic action = 0.375*am*g*H*H</t>
        </r>
      </text>
    </comment>
    <comment ref="C31" authorId="0">
      <text>
        <r>
          <rPr>
            <b/>
            <sz val="8"/>
            <rFont val="Tahoma"/>
            <family val="0"/>
          </rPr>
          <t>check for eccentricity less than L/6</t>
        </r>
      </text>
    </comment>
    <comment ref="F31" authorId="0">
      <text>
        <r>
          <rPr>
            <b/>
            <sz val="8"/>
            <rFont val="Tahoma"/>
            <family val="0"/>
          </rPr>
          <t>check that the bearing pressure on foundation soil is less than the allowable bearing pressure of soil</t>
        </r>
      </text>
    </comment>
    <comment ref="G20" authorId="0">
      <text>
        <r>
          <rPr>
            <b/>
            <sz val="8"/>
            <rFont val="Tahoma"/>
            <family val="0"/>
          </rPr>
          <t>Vertical force from the wedge for seismic intertial force</t>
        </r>
      </text>
    </comment>
    <comment ref="E22" authorId="0">
      <text>
        <r>
          <rPr>
            <b/>
            <sz val="8"/>
            <rFont val="Tahoma"/>
            <family val="0"/>
          </rPr>
          <t>earthquake lateral force = P-IR+0.5*P-AE</t>
        </r>
      </text>
    </comment>
    <comment ref="D24" authorId="0">
      <text>
        <r>
          <rPr>
            <b/>
            <sz val="8"/>
            <rFont val="Tahoma"/>
            <family val="0"/>
          </rPr>
          <t>eq. moment = 0.5*H*P-IR
+0.6*H*P-AE/2</t>
        </r>
      </text>
    </comment>
    <comment ref="G21" authorId="0">
      <text>
        <r>
          <rPr>
            <b/>
            <sz val="8"/>
            <rFont val="Tahoma"/>
            <family val="0"/>
          </rPr>
          <t>inertial force to consider for internal stability calculations</t>
        </r>
      </text>
    </comment>
    <comment ref="H6" authorId="0">
      <text>
        <r>
          <rPr>
            <b/>
            <sz val="8"/>
            <rFont val="Tahoma"/>
            <family val="0"/>
          </rPr>
          <t xml:space="preserve">backfill slope angle </t>
        </r>
        <r>
          <rPr>
            <b/>
            <sz val="8"/>
            <rFont val="Symbol"/>
            <family val="1"/>
          </rPr>
          <t>b</t>
        </r>
      </text>
    </comment>
    <comment ref="H7" authorId="0">
      <text>
        <r>
          <rPr>
            <b/>
            <sz val="8"/>
            <rFont val="Tahoma"/>
            <family val="0"/>
          </rPr>
          <t>effective height = 
H + L tan</t>
        </r>
        <r>
          <rPr>
            <b/>
            <sz val="8"/>
            <rFont val="Symbol"/>
            <family val="1"/>
          </rPr>
          <t>b</t>
        </r>
      </text>
    </comment>
    <comment ref="B19" authorId="0">
      <text>
        <r>
          <rPr>
            <b/>
            <sz val="8"/>
            <rFont val="Tahoma"/>
            <family val="0"/>
          </rPr>
          <t>Ko=1-sin</t>
        </r>
        <r>
          <rPr>
            <b/>
            <sz val="8"/>
            <rFont val="Symbol"/>
            <family val="1"/>
          </rPr>
          <t>f</t>
        </r>
      </text>
    </comment>
    <comment ref="B21" authorId="0">
      <text>
        <r>
          <rPr>
            <b/>
            <sz val="8"/>
            <rFont val="Tahoma"/>
            <family val="0"/>
          </rPr>
          <t>active lateral earth coefficient of backfill soil</t>
        </r>
      </text>
    </comment>
    <comment ref="E8" authorId="0">
      <text>
        <r>
          <rPr>
            <b/>
            <sz val="8"/>
            <rFont val="Tahoma"/>
            <family val="0"/>
          </rPr>
          <t>horizontal load from breaking forces of vehicles and lateral thrust on bridge abutment</t>
        </r>
      </text>
    </comment>
    <comment ref="B29" authorId="0">
      <text>
        <r>
          <rPr>
            <b/>
            <sz val="8"/>
            <rFont val="Tahoma"/>
            <family val="0"/>
          </rPr>
          <t>Factor of safety against lateral sliding not considering the live load surcharge</t>
        </r>
      </text>
    </comment>
    <comment ref="H25" authorId="0">
      <text>
        <r>
          <rPr>
            <b/>
            <sz val="8"/>
            <rFont val="Tahoma"/>
            <family val="0"/>
          </rPr>
          <t>This is the force on the critical wedge behind the bridge abutment.  Check that sufficient reinforcement is provided to counteract this force</t>
        </r>
      </text>
    </comment>
    <comment ref="E7" authorId="0">
      <text>
        <r>
          <rPr>
            <b/>
            <sz val="8"/>
            <rFont val="Tahoma"/>
            <family val="0"/>
          </rPr>
          <t>Vertical load on the bridge abutment</t>
        </r>
      </text>
    </comment>
    <comment ref="K84" authorId="1">
      <text>
        <r>
          <rPr>
            <b/>
            <sz val="8"/>
            <rFont val="Tahoma"/>
            <family val="0"/>
          </rPr>
          <t>this should be equal to the seismic intertial force</t>
        </r>
      </text>
    </comment>
  </commentList>
</comments>
</file>

<file path=xl/sharedStrings.xml><?xml version="1.0" encoding="utf-8"?>
<sst xmlns="http://schemas.openxmlformats.org/spreadsheetml/2006/main" count="104" uniqueCount="81">
  <si>
    <t>H=</t>
  </si>
  <si>
    <t>m</t>
  </si>
  <si>
    <t>coh=</t>
  </si>
  <si>
    <t>kPa</t>
  </si>
  <si>
    <t xml:space="preserve">phi-r = </t>
  </si>
  <si>
    <t>deg</t>
  </si>
  <si>
    <t>phi-back=</t>
  </si>
  <si>
    <t>q-all</t>
  </si>
  <si>
    <t>q-LL=</t>
  </si>
  <si>
    <t xml:space="preserve">q-p = </t>
  </si>
  <si>
    <t>Length</t>
  </si>
  <si>
    <t xml:space="preserve">K-ab = </t>
  </si>
  <si>
    <t xml:space="preserve">K-ar = </t>
  </si>
  <si>
    <t>Pa-gam=</t>
  </si>
  <si>
    <t xml:space="preserve">gam-b = </t>
  </si>
  <si>
    <t>kN/m3</t>
  </si>
  <si>
    <t>gam-r=</t>
  </si>
  <si>
    <t>Pa-q=</t>
  </si>
  <si>
    <t>Pa-tot=</t>
  </si>
  <si>
    <t>Mo-gam=</t>
  </si>
  <si>
    <t>Mo-q=</t>
  </si>
  <si>
    <t>Mo-tot=</t>
  </si>
  <si>
    <t>FS-slid=</t>
  </si>
  <si>
    <t>FS-OTM=</t>
  </si>
  <si>
    <t>e-bearing</t>
  </si>
  <si>
    <t xml:space="preserve">sig-vb = </t>
  </si>
  <si>
    <t>T-LTDS=</t>
  </si>
  <si>
    <t>kN/m</t>
  </si>
  <si>
    <t>z-m</t>
  </si>
  <si>
    <t>sigma-vb</t>
  </si>
  <si>
    <t>e</t>
  </si>
  <si>
    <t>M</t>
  </si>
  <si>
    <t>Layer=</t>
  </si>
  <si>
    <t>depth</t>
  </si>
  <si>
    <t>embed-L</t>
  </si>
  <si>
    <t>Force</t>
  </si>
  <si>
    <t>FS-rup</t>
  </si>
  <si>
    <t>Pullcap</t>
  </si>
  <si>
    <t>FS-pull</t>
  </si>
  <si>
    <t>int. parm.=</t>
  </si>
  <si>
    <t>Vert load</t>
  </si>
  <si>
    <t>Hor. Load</t>
  </si>
  <si>
    <t>Foot.width</t>
  </si>
  <si>
    <t>Front dist.</t>
  </si>
  <si>
    <t>Vert. force</t>
  </si>
  <si>
    <t>sig. depth</t>
  </si>
  <si>
    <t>pi=</t>
  </si>
  <si>
    <t>Force-Fh</t>
  </si>
  <si>
    <t>Tot force</t>
  </si>
  <si>
    <t>Reinforcement layers at depths: 5, 4.75,4.5, 4.0, 3.5, 3.0,2.5,1.5, 0.50, 0.25</t>
  </si>
  <si>
    <t>Vert. strs.</t>
  </si>
  <si>
    <t>Fv-force</t>
  </si>
  <si>
    <t xml:space="preserve">ground accleration = </t>
  </si>
  <si>
    <t>acceleration in soil=</t>
  </si>
  <si>
    <t xml:space="preserve">P-IR = </t>
  </si>
  <si>
    <t>P-AE</t>
  </si>
  <si>
    <t>P-earthq.</t>
  </si>
  <si>
    <t>M-earthq=</t>
  </si>
  <si>
    <t xml:space="preserve"> </t>
  </si>
  <si>
    <t>Max. V. spac.</t>
  </si>
  <si>
    <t>Iner. Forc.</t>
  </si>
  <si>
    <t>grid. Cap.</t>
  </si>
  <si>
    <t>P-wedge</t>
  </si>
  <si>
    <t>P-int-eq</t>
  </si>
  <si>
    <t>Ko-r</t>
  </si>
  <si>
    <t>K-ar</t>
  </si>
  <si>
    <t>T. strength</t>
  </si>
  <si>
    <t>backslope</t>
  </si>
  <si>
    <t>effec. Ht</t>
  </si>
  <si>
    <t>effe. Depth</t>
  </si>
  <si>
    <t>Eff V.Load</t>
  </si>
  <si>
    <t>effect. H</t>
  </si>
  <si>
    <t>force-Fh</t>
  </si>
  <si>
    <t xml:space="preserve">Wedge force = </t>
  </si>
  <si>
    <t>INTERNAL STABILITY CALCULATIONS:</t>
  </si>
  <si>
    <t>Forces and Moments acting on the wall</t>
  </si>
  <si>
    <t>Results from External Stability Calculations</t>
  </si>
  <si>
    <t>Maximum Permissible Vertical Spacing at Different Depths</t>
  </si>
  <si>
    <t>Total tensile capacity provided = 9*40 = 360</t>
  </si>
  <si>
    <t>Total no. of layers = 9</t>
  </si>
  <si>
    <t>Simple Calculations for RE Walls with soft grids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</si>
</sst>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  <numFmt numFmtId="174" formatCode="0.0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Symbol"/>
      <family val="1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 Black"/>
      <family val="2"/>
    </font>
    <font>
      <b/>
      <sz val="12"/>
      <color indexed="10"/>
      <name val="Arial Black"/>
      <family val="2"/>
    </font>
    <font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 Black"/>
      <family val="2"/>
    </font>
    <font>
      <b/>
      <sz val="12"/>
      <color rgb="FFFF0000"/>
      <name val="Arial Black"/>
      <family val="2"/>
    </font>
    <font>
      <sz val="26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0" fontId="45" fillId="0" borderId="0" xfId="0" applyFont="1" applyAlignment="1">
      <alignment/>
    </xf>
    <xf numFmtId="0" fontId="0" fillId="34" borderId="0" xfId="0" applyFill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8"/>
  <sheetViews>
    <sheetView tabSelected="1" zoomScalePageLayoutView="0" workbookViewId="0" topLeftCell="A1">
      <selection activeCell="B3" sqref="B1:B3"/>
    </sheetView>
  </sheetViews>
  <sheetFormatPr defaultColWidth="9.140625" defaultRowHeight="12.75"/>
  <cols>
    <col min="4" max="4" width="10.7109375" style="0" customWidth="1"/>
  </cols>
  <sheetData>
    <row r="1" ht="33">
      <c r="A1" s="8" t="s">
        <v>80</v>
      </c>
    </row>
    <row r="5" spans="1:8" ht="12.75">
      <c r="A5" t="s">
        <v>0</v>
      </c>
      <c r="B5" s="1">
        <v>10</v>
      </c>
      <c r="C5" s="6" t="s">
        <v>1</v>
      </c>
      <c r="D5" t="s">
        <v>26</v>
      </c>
      <c r="E5" s="1">
        <v>56</v>
      </c>
      <c r="F5" s="6" t="s">
        <v>27</v>
      </c>
      <c r="G5" t="s">
        <v>46</v>
      </c>
      <c r="H5">
        <f>3.1415926/180</f>
        <v>0.017453292222222222</v>
      </c>
    </row>
    <row r="6" spans="1:9" ht="12.75">
      <c r="A6" t="s">
        <v>2</v>
      </c>
      <c r="B6" s="1">
        <v>0</v>
      </c>
      <c r="C6" s="6" t="s">
        <v>3</v>
      </c>
      <c r="D6" t="s">
        <v>32</v>
      </c>
      <c r="E6" s="1">
        <v>0.25</v>
      </c>
      <c r="F6" s="6" t="s">
        <v>1</v>
      </c>
      <c r="G6" t="s">
        <v>67</v>
      </c>
      <c r="H6" s="1">
        <v>0</v>
      </c>
      <c r="I6" s="2"/>
    </row>
    <row r="7" spans="1:8" ht="12.75">
      <c r="A7" t="s">
        <v>4</v>
      </c>
      <c r="B7" s="1">
        <v>30</v>
      </c>
      <c r="C7" s="6" t="s">
        <v>5</v>
      </c>
      <c r="D7" t="s">
        <v>40</v>
      </c>
      <c r="E7" s="1">
        <v>0</v>
      </c>
      <c r="F7" s="6" t="s">
        <v>27</v>
      </c>
      <c r="G7" t="s">
        <v>68</v>
      </c>
      <c r="H7">
        <f>$B$5+$B$15*TAN($H$5*$H$6)</f>
        <v>10</v>
      </c>
    </row>
    <row r="8" spans="1:6" ht="12.75">
      <c r="A8" t="s">
        <v>6</v>
      </c>
      <c r="B8" s="1">
        <v>30</v>
      </c>
      <c r="C8" s="6" t="s">
        <v>5</v>
      </c>
      <c r="D8" t="s">
        <v>41</v>
      </c>
      <c r="E8" s="1">
        <v>25</v>
      </c>
      <c r="F8" s="6" t="s">
        <v>27</v>
      </c>
    </row>
    <row r="9" spans="1:6" ht="12.75">
      <c r="A9" t="s">
        <v>14</v>
      </c>
      <c r="B9" s="1">
        <v>20</v>
      </c>
      <c r="C9" s="6" t="s">
        <v>15</v>
      </c>
      <c r="D9" t="s">
        <v>42</v>
      </c>
      <c r="E9" s="1">
        <v>1</v>
      </c>
      <c r="F9" s="6" t="s">
        <v>1</v>
      </c>
    </row>
    <row r="10" spans="1:6" ht="12.75">
      <c r="A10" t="s">
        <v>16</v>
      </c>
      <c r="B10" s="1">
        <v>20</v>
      </c>
      <c r="C10" s="6" t="s">
        <v>15</v>
      </c>
      <c r="D10" t="s">
        <v>43</v>
      </c>
      <c r="E10" s="1">
        <v>1.5</v>
      </c>
      <c r="F10" s="6" t="s">
        <v>1</v>
      </c>
    </row>
    <row r="11" spans="1:8" ht="12.75">
      <c r="A11" t="s">
        <v>39</v>
      </c>
      <c r="B11" s="1">
        <v>0.85</v>
      </c>
      <c r="C11" s="6"/>
      <c r="D11" t="s">
        <v>70</v>
      </c>
      <c r="E11">
        <f>MAX($E$7-($B$13+$B$14)*(($E$9+$E$10)),0)</f>
        <v>0</v>
      </c>
      <c r="F11" s="6" t="s">
        <v>27</v>
      </c>
      <c r="H11" t="s">
        <v>58</v>
      </c>
    </row>
    <row r="12" spans="1:8" ht="12.75">
      <c r="A12" t="s">
        <v>7</v>
      </c>
      <c r="B12" s="1">
        <v>400</v>
      </c>
      <c r="C12" s="6" t="s">
        <v>3</v>
      </c>
      <c r="D12" t="s">
        <v>45</v>
      </c>
      <c r="E12">
        <f>MIN($B$5,($E$9+$E$10)*TAN($H$5*(45+$B$7/2)))</f>
        <v>4.330126840289553</v>
      </c>
      <c r="F12" s="6" t="s">
        <v>1</v>
      </c>
      <c r="H12" t="s">
        <v>58</v>
      </c>
    </row>
    <row r="13" spans="1:3" ht="12.75">
      <c r="A13" t="s">
        <v>9</v>
      </c>
      <c r="B13" s="1">
        <v>25</v>
      </c>
      <c r="C13" s="6" t="s">
        <v>3</v>
      </c>
    </row>
    <row r="14" spans="1:6" ht="12.75">
      <c r="A14" t="s">
        <v>8</v>
      </c>
      <c r="B14" s="1">
        <v>20</v>
      </c>
      <c r="C14" s="6" t="s">
        <v>3</v>
      </c>
      <c r="D14" t="s">
        <v>52</v>
      </c>
      <c r="F14">
        <v>0.04</v>
      </c>
    </row>
    <row r="15" spans="1:6" ht="12.75">
      <c r="A15" t="s">
        <v>10</v>
      </c>
      <c r="B15" s="1">
        <v>7</v>
      </c>
      <c r="C15" s="6" t="s">
        <v>1</v>
      </c>
      <c r="D15" t="s">
        <v>53</v>
      </c>
      <c r="F15">
        <f>(1.45-$F$14)*$F$14</f>
        <v>0.0564</v>
      </c>
    </row>
    <row r="16" spans="2:3" ht="12.75">
      <c r="B16" s="6"/>
      <c r="C16" s="6"/>
    </row>
    <row r="17" spans="1:3" ht="19.5">
      <c r="A17" s="5" t="s">
        <v>75</v>
      </c>
      <c r="B17" s="6"/>
      <c r="C17" s="6"/>
    </row>
    <row r="18" spans="2:3" ht="12.75">
      <c r="B18" s="6"/>
      <c r="C18" s="6"/>
    </row>
    <row r="19" spans="1:2" ht="12.75">
      <c r="A19" t="s">
        <v>64</v>
      </c>
      <c r="B19">
        <f>1-SIN($H$5*$B$7)</f>
        <v>0.5000000077350204</v>
      </c>
    </row>
    <row r="20" spans="1:7" ht="12.75">
      <c r="A20" t="s">
        <v>11</v>
      </c>
      <c r="B20">
        <f>(COS($H$5*$H$6)-SQRT(COS($H$5*$H$6)^2-COS($H$5*$B$8)^2))/(COS($H$5*$H$6)+SQRT(COS($H$5*$H$6)^2-COS($H$5*$B$8)^2))*COS($H$5*$H$6)</f>
        <v>0.33333334020890704</v>
      </c>
      <c r="D20" t="s">
        <v>54</v>
      </c>
      <c r="E20">
        <f>0.5*$F$15*$B$10*$H$7^2</f>
        <v>56.39999999999999</v>
      </c>
      <c r="F20" t="s">
        <v>62</v>
      </c>
      <c r="G20">
        <f>(0.5*$B$5*$B$5/TAN($H$5*(45+$B$7/2))+0.5*$B$15*$B$15*TAN($H$5*$H$6))*$B$10+($B$13+$B$14)*$B$5/TAN($H$5*(45+$B$7/2))+$E$11</f>
        <v>837.1579248606025</v>
      </c>
    </row>
    <row r="21" spans="1:7" ht="12.75">
      <c r="A21" t="s">
        <v>12</v>
      </c>
      <c r="B21">
        <f>(COS($H$5*$H$6)-SQRT(COS($H$5*$H$6)^2-COS($H$5*$B$7)^2))/(COS($H$5*$H$6)+SQRT(COS($H$5*$H$6)^2-COS($H$5*$B$7)^2))*COS($H$5*$H$6)</f>
        <v>0.33333334020890704</v>
      </c>
      <c r="D21" t="s">
        <v>55</v>
      </c>
      <c r="E21">
        <f>0.375*$F$15*$B$9*$H$7^2</f>
        <v>42.3</v>
      </c>
      <c r="F21" t="s">
        <v>63</v>
      </c>
      <c r="G21">
        <f>$F$15*$G$20</f>
        <v>47.21570696213798</v>
      </c>
    </row>
    <row r="22" spans="1:5" ht="12.75">
      <c r="A22" t="s">
        <v>13</v>
      </c>
      <c r="B22">
        <f>0.5*B20*B9*$H$7*$H$7</f>
        <v>333.33334020890703</v>
      </c>
      <c r="D22" t="s">
        <v>56</v>
      </c>
      <c r="E22">
        <f>$E$20+0.5*$E$21</f>
        <v>77.54999999999998</v>
      </c>
    </row>
    <row r="23" spans="1:4" ht="12.75">
      <c r="A23" t="s">
        <v>17</v>
      </c>
      <c r="B23">
        <f>B20*(B13+B14)*$H$7</f>
        <v>150.00000309400815</v>
      </c>
      <c r="C23" t="s">
        <v>18</v>
      </c>
      <c r="D23">
        <f>B22+B23+$E$8+$E$22</f>
        <v>585.8833433029151</v>
      </c>
    </row>
    <row r="24" spans="1:4" ht="12.75">
      <c r="A24" t="s">
        <v>19</v>
      </c>
      <c r="B24">
        <f>B22*$H$7/3</f>
        <v>1111.11113402969</v>
      </c>
      <c r="C24" t="s">
        <v>57</v>
      </c>
      <c r="D24">
        <f>$E$20*0.5*$H$7+0.5*$E$21*0.6*$H$7</f>
        <v>408.8999999999999</v>
      </c>
    </row>
    <row r="25" spans="1:8" ht="12.75">
      <c r="A25" t="s">
        <v>20</v>
      </c>
      <c r="B25">
        <f>B23*$H$7/2</f>
        <v>750.0000154700408</v>
      </c>
      <c r="C25" t="s">
        <v>21</v>
      </c>
      <c r="D25">
        <f>B24+B25+$E$8*$H$7+$D$24</f>
        <v>2520.011149499731</v>
      </c>
      <c r="F25" t="s">
        <v>73</v>
      </c>
      <c r="H25">
        <f>(0.5*($E$9+$E$10)^2/TAN($H$5*(45-$B$7/2))*$B$10+($B$13+$B$14)*($E$9+$E$10)+$E$11)/TAN($H$5*(45+$B$7/2))+$E$8</f>
        <v>152.45191183083293</v>
      </c>
    </row>
    <row r="27" ht="19.5">
      <c r="A27" s="5" t="s">
        <v>76</v>
      </c>
    </row>
    <row r="29" spans="1:4" ht="12.75">
      <c r="A29" t="s">
        <v>22</v>
      </c>
      <c r="B29">
        <f>($B$10*$B$5*$B$15+$B$15*$B$13+$B$10*0.5*$B$15^2*TAN($H$5*$H$6)+$E$11)*TAN(2/3*3.1415*B7/180)/D23</f>
        <v>0.9784110834066998</v>
      </c>
      <c r="C29" t="str">
        <f>IF($F$14=0,IF($B$29&gt;1.5,"OK","NOT OK"),IF($B$29&gt;1.125,"OK","NOT OK"))</f>
        <v>NOT OK</v>
      </c>
      <c r="D29" t="s">
        <v>58</v>
      </c>
    </row>
    <row r="30" spans="1:3" ht="12.75">
      <c r="A30" t="s">
        <v>23</v>
      </c>
      <c r="B30">
        <f>((B10*B5*B15+B13*B15)*B15/2+$E$11*($E$10+$E$9/2))/D25</f>
        <v>2.187490321657638</v>
      </c>
      <c r="C30" t="str">
        <f>IF($B$30&gt;2,"OK","NOT OK")</f>
        <v>OK</v>
      </c>
    </row>
    <row r="31" spans="1:6" ht="12.75">
      <c r="A31" t="s">
        <v>24</v>
      </c>
      <c r="B31">
        <f>D25/($B$5*$B$10*$B$15+0.5*$B$10*$B$15^2*TAN($H$5*$H$6)+($B$13+$B$14)*$B$15+$E$11)</f>
        <v>1.4693942562680646</v>
      </c>
      <c r="C31" t="str">
        <f>IF($B$31&lt;$B$15/6,"OK","NOTOK")</f>
        <v>NOTOK</v>
      </c>
      <c r="D31" t="s">
        <v>25</v>
      </c>
      <c r="E31">
        <f>((B5*B10+B13+B14)*B15+0.5*$B$10*$B$15^2*TAN($H$5*$H$6)+$E$11)/(B15-2*B31)</f>
        <v>422.28778414861046</v>
      </c>
      <c r="F31" t="str">
        <f>IF($E$31&lt;$B$12,"OK","NOT OK")</f>
        <v>NOT OK</v>
      </c>
    </row>
    <row r="34" spans="1:6" ht="19.5">
      <c r="A34" s="7" t="s">
        <v>77</v>
      </c>
      <c r="B34" s="4"/>
      <c r="C34" s="4"/>
      <c r="D34" s="4"/>
      <c r="E34" s="4"/>
      <c r="F34" s="4"/>
    </row>
    <row r="35" spans="1:6" ht="12.75">
      <c r="A35" s="4"/>
      <c r="B35" s="4"/>
      <c r="C35" s="4"/>
      <c r="D35" s="4"/>
      <c r="E35" s="4"/>
      <c r="F35" s="4"/>
    </row>
    <row r="36" spans="1:8" ht="12.75">
      <c r="A36" t="s">
        <v>28</v>
      </c>
      <c r="B36" t="s">
        <v>71</v>
      </c>
      <c r="C36" t="s">
        <v>44</v>
      </c>
      <c r="D36" t="s">
        <v>31</v>
      </c>
      <c r="E36" t="s">
        <v>30</v>
      </c>
      <c r="F36" t="s">
        <v>29</v>
      </c>
      <c r="G36" t="s">
        <v>72</v>
      </c>
      <c r="H36" t="s">
        <v>59</v>
      </c>
    </row>
    <row r="37" spans="1:8" ht="12.75">
      <c r="A37">
        <v>1</v>
      </c>
      <c r="B37">
        <f>A37+$B$15*TAN($H$5*$H$6)</f>
        <v>1</v>
      </c>
      <c r="C37">
        <f>(A37*$B$10+$B$13+$B$14)*$B$15+0.5*$B$15*$B$15*TAN($H$5*$H$6)*$B$10+$E$11</f>
        <v>455</v>
      </c>
      <c r="D37">
        <f>$B$20*$B$9*B37*B37*B37/6+$B$20*($B$13+$B$14)*B37*B37/2+$E$8*B37</f>
        <v>33.6111112887301</v>
      </c>
      <c r="E37">
        <f aca="true" t="shared" si="0" ref="E37:E44">D37/C37</f>
        <v>0.07387057426094527</v>
      </c>
      <c r="F37">
        <f>C37/($B$15-2*E37)</f>
        <v>66.40146116223431</v>
      </c>
      <c r="G37">
        <f>IF($E$12&lt;A37,0,2*$E$8/$E$12*(1-A37/$E$12))*A37/2</f>
        <v>4.440169486730604</v>
      </c>
      <c r="H37">
        <f>$E$5/(F37*$B$21+G37)</f>
        <v>2.10732371401994</v>
      </c>
    </row>
    <row r="38" spans="1:8" ht="12.75">
      <c r="A38">
        <v>2</v>
      </c>
      <c r="B38">
        <f>A38+$B$15*TAN($H$5*$H$6)</f>
        <v>2</v>
      </c>
      <c r="C38">
        <f>(A38*$B$10+$B$13+$B$14)*$B$15+0.5*$B$15*$B$15*TAN($H$5*$H$6)*$B$10+$E$11</f>
        <v>595</v>
      </c>
      <c r="D38">
        <f>$B$20*$B$9*B38*B38*B38/6+$B$20*($B$13+$B$14)*B38*B38/2+$E$8*B38</f>
        <v>88.88888969103915</v>
      </c>
      <c r="E38">
        <f t="shared" si="0"/>
        <v>0.14939309191771286</v>
      </c>
      <c r="F38">
        <f>C38/($B$15-2*E38)</f>
        <v>88.78988438851918</v>
      </c>
      <c r="G38">
        <f>IF($E$12&lt;A38,0,2*$E$8/$E$12*(1-A38/$E$12))*((A38-A37)/2+(A39-A38)/2)</f>
        <v>4.660254065082132</v>
      </c>
      <c r="H38">
        <f>$E$5/(F38*$B$21+G38)</f>
        <v>1.6347079890092089</v>
      </c>
    </row>
    <row r="39" spans="1:8" ht="12.75">
      <c r="A39">
        <v>2.5</v>
      </c>
      <c r="B39">
        <f>A39+$B$15*TAN($H$5*$H$6)</f>
        <v>2.5</v>
      </c>
      <c r="C39">
        <f>(A39*$B$10+$B$13+$B$14)*$B$15+0.5*$B$15*$B$15*TAN($H$5*$H$6)*$B$10+$E$11</f>
        <v>665</v>
      </c>
      <c r="D39">
        <f>$B$20*$B$9*B39*B39*B39/6+$B$20*($B$13+$B$14)*B39*B39/2+$E$8*B39</f>
        <v>126.73611243609146</v>
      </c>
      <c r="E39">
        <f t="shared" si="0"/>
        <v>0.1905806202046488</v>
      </c>
      <c r="F39">
        <f>C39/($B$15-2*E39)</f>
        <v>100.47079618557174</v>
      </c>
      <c r="G39">
        <f>IF($E$12&lt;A39,0,2*$E$8/$E$12*(1-A39/$E$12))*((A39-A38)/2+(A40-A39)/2)</f>
        <v>2.440169321716829</v>
      </c>
      <c r="H39">
        <f>$E$5/(F39*$B$21+G39)</f>
        <v>1.5585672526527823</v>
      </c>
    </row>
    <row r="40" spans="1:8" ht="12.75">
      <c r="A40">
        <v>3</v>
      </c>
      <c r="B40">
        <f>A40+$B$15*TAN($H$5*$H$6)</f>
        <v>3</v>
      </c>
      <c r="C40">
        <f>(A40*$B$10+$B$13+$B$14)*$B$15+0.5*$B$15*$B$15*TAN($H$5*$H$6)*$B$10+$E$11</f>
        <v>735</v>
      </c>
      <c r="D40">
        <f>$B$20*$B$9*B40*B40*B40/6+$B$20*($B$13+$B$14)*B40*B40/2+$E$8*B40</f>
        <v>172.5000020111053</v>
      </c>
      <c r="E40">
        <f t="shared" si="0"/>
        <v>0.23469388028721808</v>
      </c>
      <c r="F40">
        <f>C40/($B$15-2*E40)</f>
        <v>112.54687509430984</v>
      </c>
      <c r="G40">
        <f>IF($E$12&lt;A40,0,2*$E$8/$E$12*(1-A40/$E$12))*((A40-A39)/2+(A41-A40)/2)</f>
        <v>2.6602539000683576</v>
      </c>
      <c r="H40">
        <f>$E$5/(F40*$B$21+G40)</f>
        <v>1.3938711587831552</v>
      </c>
    </row>
    <row r="41" spans="1:8" ht="12.75">
      <c r="A41">
        <v>4</v>
      </c>
      <c r="B41">
        <f>A41+$B$15*TAN($H$5*$H$6)</f>
        <v>4</v>
      </c>
      <c r="C41">
        <f>(A41*$B$10+$B$13+$B$14)*$B$15+0.5*$B$15*$B$15*TAN($H$5*$H$6)*$B$10+$E$11</f>
        <v>875</v>
      </c>
      <c r="D41">
        <f>$B$20*$B$9*B41*B41*B41/6+$B$20*($B$13+$B$14)*B41*B41/2+$E$8*B41</f>
        <v>291.1111150531067</v>
      </c>
      <c r="E41">
        <f t="shared" si="0"/>
        <v>0.3326984172035505</v>
      </c>
      <c r="F41">
        <f>C41/($B$15-2*E41)</f>
        <v>138.13019965523014</v>
      </c>
      <c r="G41">
        <f>IF($E$12&lt;A41,0,2*$E$8/$E$12*(1-A41/$E$12))*((A41-A40)/2+(A42-A41)/2)</f>
        <v>0.8803383134061107</v>
      </c>
      <c r="H41">
        <f>$E$5/(F41*$B$21+G41)</f>
        <v>1.1934257801392534</v>
      </c>
    </row>
    <row r="42" spans="1:8" ht="12.75">
      <c r="A42">
        <v>5</v>
      </c>
      <c r="B42">
        <f>A42+$B$15*TAN($H$5*$H$6)</f>
        <v>5</v>
      </c>
      <c r="C42">
        <f>(A42*$B$10+$B$13+$B$14)*$B$15+0.5*$B$15*$B$15*TAN($H$5*$H$6)*$B$10+$E$11</f>
        <v>1015</v>
      </c>
      <c r="D42">
        <f>$B$20*$B$9*B42*B42*B42/6+$B$20*($B$13+$B$14)*B42*B42/2+$E$8*B42</f>
        <v>451.3888956212214</v>
      </c>
      <c r="E42">
        <f t="shared" si="0"/>
        <v>0.4447181237647502</v>
      </c>
      <c r="F42">
        <f>C42/($B$15-2*E42)</f>
        <v>166.10578681707327</v>
      </c>
      <c r="G42">
        <f>IF($E$12&lt;A42,0,2*$E$8/$E$12*(1-A42/$E$12))*((A42-A41)/2+(A43-A42)/2)</f>
        <v>0</v>
      </c>
      <c r="H42">
        <f>$E$5/(F42*$B$21+G42)</f>
        <v>1.0114036347193833</v>
      </c>
    </row>
    <row r="43" spans="1:8" ht="12.75">
      <c r="A43">
        <v>5.5</v>
      </c>
      <c r="B43">
        <f>A43+$B$15*TAN($H$5*$H$6)</f>
        <v>5.5</v>
      </c>
      <c r="C43">
        <f>(A43*$B$10+$B$13+$B$14)*$B$15+0.5*$B$15*$B$15*TAN($H$5*$H$6)*$B$10+$E$11</f>
        <v>1085</v>
      </c>
      <c r="D43">
        <f>$B$20*$B$9*B43*B43*B43/6+$B$20*($B$13+$B$14)*B43*B43/2+$E$8*B43</f>
        <v>549.236119603877</v>
      </c>
      <c r="E43">
        <f t="shared" si="0"/>
        <v>0.5062084051648635</v>
      </c>
      <c r="F43">
        <f>C43/($B$15-2*E43)</f>
        <v>181.20833826105877</v>
      </c>
      <c r="G43">
        <f>IF($E$12&lt;A43,0,2*$E$8/$E$12*(1-A43/$E$12))*((A43-A42)/2+(A44-A43)/2)</f>
        <v>0</v>
      </c>
      <c r="H43">
        <f>$E$5/(F43*$B$21+G43)</f>
        <v>0.9271096360515201</v>
      </c>
    </row>
    <row r="44" spans="1:8" ht="12.75">
      <c r="A44">
        <v>6</v>
      </c>
      <c r="B44">
        <f>A44+$B$15*TAN($H$5*$H$6)</f>
        <v>6</v>
      </c>
      <c r="C44">
        <f>(A44*$B$10+$B$13+$B$14)*$B$15+0.5*$B$15*$B$15*TAN($H$5*$H$6)*$B$10+$E$11</f>
        <v>1155</v>
      </c>
      <c r="D44">
        <f>$B$20*$B$9*B44*B44*B44/6+$B$20*($B$13+$B$14)*B44*B44/2+$E$8*B44</f>
        <v>660.0000105196277</v>
      </c>
      <c r="E44">
        <f t="shared" si="0"/>
        <v>0.5714285805364743</v>
      </c>
      <c r="F44">
        <f>C44/($B$15-2*E44)</f>
        <v>197.1951225644994</v>
      </c>
      <c r="G44">
        <f>IF($E$12&lt;A44,0,2*$E$8/$E$12*(1-A44/$E$12))*((A44-A43)/2+(A45-A44)/2)</f>
        <v>0</v>
      </c>
      <c r="H44">
        <f>$E$5/(F44*$B$21+G44)</f>
        <v>0.8519480317255859</v>
      </c>
    </row>
    <row r="45" spans="1:8" ht="12.75">
      <c r="A45">
        <v>6.5</v>
      </c>
      <c r="B45">
        <f>A45+$B$15*TAN($H$5*$H$6)</f>
        <v>6.5</v>
      </c>
      <c r="C45">
        <f>(A45*$B$10+$B$13+$B$14)*$B$15+0.5*$B$15*$B$15*TAN($H$5*$H$6)*$B$10+$E$11</f>
        <v>1225</v>
      </c>
      <c r="D45">
        <f>$B$20*$B$9*B45*B45*B45/6+$B$20*($B$13+$B$14)*B45*B45/2+$E$8*B45</f>
        <v>784.513901718996</v>
      </c>
      <c r="E45">
        <f>D45/C45</f>
        <v>0.6404195116073437</v>
      </c>
      <c r="F45">
        <f>C45/($B$15-2*E45)</f>
        <v>214.19225739097155</v>
      </c>
      <c r="G45">
        <f>IF($E$12&lt;A45,0,2*$E$8/$E$12*(1-A45/$E$12))*((A45-A44)/2+(A46-A45)/2)</f>
        <v>0</v>
      </c>
      <c r="H45">
        <f>$E$5/(F45*$B$21+G45)</f>
        <v>0.7843420606378665</v>
      </c>
    </row>
    <row r="46" spans="1:8" ht="12.75">
      <c r="A46">
        <v>7</v>
      </c>
      <c r="B46">
        <f>A46+$B$15*TAN($H$5*$H$6)</f>
        <v>7</v>
      </c>
      <c r="C46">
        <f>(A46*$B$10+$B$13+$B$14)*$B$15+0.5*$B$15*$B$15*TAN($H$5*$H$6)*$B$10+$E$11</f>
        <v>1295</v>
      </c>
      <c r="D46">
        <f>$B$20*$B$9*B46*B46*B46/6+$B$20*($B$13+$B$14)*B46*B46/2+$E$8*B46</f>
        <v>923.6111265525037</v>
      </c>
      <c r="E46">
        <f>D46/C46</f>
        <v>0.7132132251370685</v>
      </c>
      <c r="F46">
        <f>C46/($B$15-2*E46)</f>
        <v>232.34644495966054</v>
      </c>
      <c r="G46">
        <f>IF($E$12&lt;A46,0,2*$E$8/$E$12*(1-A46/$E$12))*((A46-A45)/2+(A47-A46)/2)</f>
        <v>0</v>
      </c>
      <c r="H46">
        <f>$E$5/(F46*$B$21+G46)</f>
        <v>0.7230581753203872</v>
      </c>
    </row>
    <row r="47" spans="1:8" ht="12.75">
      <c r="A47">
        <v>8</v>
      </c>
      <c r="B47">
        <f>A47+$B$15*TAN($H$5*$H$6)</f>
        <v>8</v>
      </c>
      <c r="C47">
        <f>(A47*$B$10+$B$13+$B$14)*$B$15+0.5*$B$15*$B$15*TAN($H$5*$H$6)*$B$10+$E$11</f>
        <v>1435</v>
      </c>
      <c r="D47">
        <f>$B$20*$B$9*B47*B47*B47/6+$B$20*($B$13+$B$14)*B47*B47/2+$E$8*B47</f>
        <v>1248.8889105240273</v>
      </c>
      <c r="E47">
        <f>D47/C47</f>
        <v>0.8703058609923535</v>
      </c>
      <c r="F47">
        <f>C47/($B$15-2*E47)</f>
        <v>272.8454193044515</v>
      </c>
      <c r="G47">
        <f>IF($E$12&lt;A47,0,2*$E$8/$E$12*(1-A47/$E$12))*((A47-A46)/2+(A48-A47)/2)</f>
        <v>0</v>
      </c>
      <c r="H47">
        <f>$E$5/(F47*$B$21+G47)</f>
        <v>0.6157332491158666</v>
      </c>
    </row>
    <row r="48" spans="1:8" ht="12.75">
      <c r="A48">
        <v>9</v>
      </c>
      <c r="B48">
        <f>A48+$B$15*TAN($H$5*$H$6)</f>
        <v>9</v>
      </c>
      <c r="C48">
        <f>(A48*$B$10+$B$13+$B$14)*$B$15+0.5*$B$15*$B$15*TAN($H$5*$H$6)*$B$10+$E$11</f>
        <v>1575</v>
      </c>
      <c r="D48">
        <f>$B$20*$B$9*B48*B48*B48/6+$B$20*($B$13+$B$14)*B48*B48/2+$E$8*B48</f>
        <v>1642.5000292383772</v>
      </c>
      <c r="E48">
        <f>D48/C48</f>
        <v>1.042857161421192</v>
      </c>
      <c r="F48">
        <f>C48/($B$15-2*E48)</f>
        <v>320.4941884678889</v>
      </c>
      <c r="G48">
        <f>IF($E$12&lt;A48,0,2*$E$8/$E$12*(1-A48/$E$12))*((A48-A47)/2+(A49-A48)/2)</f>
        <v>0</v>
      </c>
      <c r="H48">
        <f>$E$5/(F48*$B$21+G48)</f>
        <v>0.5241904614178153</v>
      </c>
    </row>
    <row r="49" spans="1:8" ht="12.75">
      <c r="A49">
        <v>10</v>
      </c>
      <c r="B49">
        <f>A49+$B$15*TAN($H$5*$H$6)</f>
        <v>10</v>
      </c>
      <c r="C49">
        <f>(A49*$B$10+$B$13+$B$14)*$B$15+0.5*$B$15*$B$15*TAN($H$5*$H$6)*$B$10+$E$11</f>
        <v>1715</v>
      </c>
      <c r="D49">
        <f>$B$20*$B$9*B49*B49*B49/6+$B$20*($B$13+$B$14)*B49*B49/2+$E$8*B49</f>
        <v>2111.111149499731</v>
      </c>
      <c r="E49">
        <f>D49/C49</f>
        <v>1.2309686002913882</v>
      </c>
      <c r="F49">
        <f>C49/($B$15-2*E49)</f>
        <v>377.91455865710793</v>
      </c>
      <c r="G49">
        <f>IF($E$12&lt;A49,0,2*$E$8/$E$12*(1-A49/$E$12))*((A49-A48)/2+(A50-A49)/2)</f>
        <v>0</v>
      </c>
      <c r="H49">
        <f>$E$5/(F49*$B$21+G49)</f>
        <v>0.44454491812034647</v>
      </c>
    </row>
    <row r="55" ht="12.75">
      <c r="A55" t="s">
        <v>49</v>
      </c>
    </row>
    <row r="56" ht="12.75">
      <c r="A56" t="s">
        <v>79</v>
      </c>
    </row>
    <row r="57" ht="12.75">
      <c r="A57" t="s">
        <v>78</v>
      </c>
    </row>
    <row r="59" spans="1:4" ht="12.75">
      <c r="A59" s="4" t="s">
        <v>74</v>
      </c>
      <c r="B59" s="4"/>
      <c r="C59" s="4"/>
      <c r="D59" s="4"/>
    </row>
    <row r="60" spans="1:4" ht="12.75">
      <c r="A60" s="4"/>
      <c r="B60" s="4"/>
      <c r="C60" s="4"/>
      <c r="D60" s="4"/>
    </row>
    <row r="61" spans="1:18" ht="12.75">
      <c r="A61" t="s">
        <v>33</v>
      </c>
      <c r="B61" t="s">
        <v>69</v>
      </c>
      <c r="C61" t="s">
        <v>50</v>
      </c>
      <c r="D61" t="s">
        <v>31</v>
      </c>
      <c r="E61" t="s">
        <v>30</v>
      </c>
      <c r="F61" t="s">
        <v>29</v>
      </c>
      <c r="G61" t="s">
        <v>65</v>
      </c>
      <c r="H61" t="s">
        <v>35</v>
      </c>
      <c r="I61" t="s">
        <v>47</v>
      </c>
      <c r="J61" t="s">
        <v>51</v>
      </c>
      <c r="K61" t="s">
        <v>60</v>
      </c>
      <c r="L61" t="s">
        <v>48</v>
      </c>
      <c r="M61" t="s">
        <v>66</v>
      </c>
      <c r="N61" t="s">
        <v>36</v>
      </c>
      <c r="O61" t="s">
        <v>34</v>
      </c>
      <c r="P61" t="s">
        <v>37</v>
      </c>
      <c r="Q61" t="s">
        <v>38</v>
      </c>
      <c r="R61" t="s">
        <v>61</v>
      </c>
    </row>
    <row r="62" spans="1:15" ht="12.75">
      <c r="A62">
        <v>0</v>
      </c>
      <c r="B62">
        <v>0</v>
      </c>
      <c r="C62" t="s">
        <v>58</v>
      </c>
      <c r="D62" t="s">
        <v>58</v>
      </c>
      <c r="E62" t="s">
        <v>58</v>
      </c>
      <c r="F62" t="s">
        <v>58</v>
      </c>
      <c r="G62" t="s">
        <v>58</v>
      </c>
      <c r="L62" s="3"/>
      <c r="O62" s="3"/>
    </row>
    <row r="63" spans="1:18" ht="12.75">
      <c r="A63">
        <v>0.25</v>
      </c>
      <c r="B63">
        <f>A63+$B$15*TAN($H$5*$H$6)</f>
        <v>0.25</v>
      </c>
      <c r="C63">
        <f>((A63+B63)/2*$B$10+$B$13+$B$14)</f>
        <v>50</v>
      </c>
      <c r="D63">
        <f>$B$20*$B$9*B63*B63*B63/6+$B$20*($B$13+$B$14)*B63*B63/2+$E$8*B63</f>
        <v>6.73611112113799</v>
      </c>
      <c r="E63">
        <f>D63/($B$10*A63*$B$15+($B$13+$B$14)*$B$15+$E$11)</f>
        <v>0.01924603177467997</v>
      </c>
      <c r="F63">
        <f>C63*$B$15/($B$15-2*E63)</f>
        <v>50.27646354712759</v>
      </c>
      <c r="G63">
        <f>$B$21</f>
        <v>0.33333334020890704</v>
      </c>
      <c r="H63">
        <f>G63*F63*(A63+(A64-A63)/2)</f>
        <v>10.474263455034622</v>
      </c>
      <c r="I63">
        <f>IF($E$12&lt;A63,0,2*$E$8/$E$12*(1-A63/$E$12))*(A63+(A64-A63)/2)</f>
        <v>6.800211961546864</v>
      </c>
      <c r="J63">
        <f>G63*$E$11/(MIN(A63/2,$E$10)+$E$9+A63/2)*(A63+(A64-A63)/2)</f>
        <v>0</v>
      </c>
      <c r="K63">
        <f>$G$21*O63/$O$84</f>
        <v>0.8716533530324948</v>
      </c>
      <c r="L63" s="3">
        <f aca="true" t="shared" si="1" ref="L63:L79">H63+I63+J63+K63</f>
        <v>18.146128769613984</v>
      </c>
      <c r="M63">
        <f>$E$5</f>
        <v>56</v>
      </c>
      <c r="N63">
        <f aca="true" t="shared" si="2" ref="N63:N79">M63/L63</f>
        <v>3.086057677148913</v>
      </c>
      <c r="O63" s="3">
        <f>$B$15-($B$5-A63)/TAN($H$5*(45+$B$7/2))</f>
        <v>1.370834643178707</v>
      </c>
      <c r="P63">
        <f>2*(C63-$B$14)*O63*$B$11*TAN(3.1415/180*$B$7)</f>
        <v>40.36259979793052</v>
      </c>
      <c r="Q63">
        <f aca="true" t="shared" si="3" ref="Q63:Q71">P63/L63</f>
        <v>2.2243091245730833</v>
      </c>
      <c r="R63">
        <f>MIN($E$5,P63)</f>
        <v>40.36259979793052</v>
      </c>
    </row>
    <row r="64" spans="1:18" ht="12.75">
      <c r="A64">
        <v>1</v>
      </c>
      <c r="B64">
        <f>A64+$B$15*TAN($H$5*$H$6)</f>
        <v>1</v>
      </c>
      <c r="C64">
        <f>((A64+B64)/2*$B$10+$B$13+$B$14)</f>
        <v>65</v>
      </c>
      <c r="D64">
        <f>$B$20*$B$9*B64*B64*B64/6+$B$20*($B$13+$B$14)*B64*B64/2+$E$8*B64</f>
        <v>33.6111112887301</v>
      </c>
      <c r="E64">
        <f>D64/($B$10*A64*$B$15+($B$13+$B$14)*$B$15+$E$11)</f>
        <v>0.07387057426094527</v>
      </c>
      <c r="F64">
        <f>C64*$B$15/($B$15-2*E64)</f>
        <v>66.40146116223431</v>
      </c>
      <c r="G64">
        <f>$B$21</f>
        <v>0.33333334020890704</v>
      </c>
      <c r="H64">
        <f aca="true" t="shared" si="4" ref="H64:H70">G64*F64*((A64-A63)/2+(A65-A64)/2)</f>
        <v>16.600365632969684</v>
      </c>
      <c r="I64">
        <f>IF($E$12&lt;A64,0,2*$E$8/$E$12*(1-A64/$E$12))*((A64-A63)/2+(A65-A64)/2)</f>
        <v>6.660254230095907</v>
      </c>
      <c r="J64">
        <f>G64*$E$11/(MIN(A64/2,$E$10)+$E$9+A64/2)*((A64-A63)/2+(A65-A64)/2)</f>
        <v>0</v>
      </c>
      <c r="K64">
        <f>$G$21*O64/$O$84</f>
        <v>1.1469870637456867</v>
      </c>
      <c r="L64" s="3">
        <f t="shared" si="1"/>
        <v>24.40760692681128</v>
      </c>
      <c r="M64">
        <f>$E$5</f>
        <v>56</v>
      </c>
      <c r="N64">
        <f t="shared" si="2"/>
        <v>2.2943666770741498</v>
      </c>
      <c r="O64" s="3">
        <f>$B$15-($B$5-A64)/TAN($H$5*(45+$B$7/2))</f>
        <v>1.8038473629341913</v>
      </c>
      <c r="P64">
        <f>2*(C64-$B$14)*O64*$B$11*TAN(3.1415/180*$B$7)</f>
        <v>79.66821844883911</v>
      </c>
      <c r="Q64">
        <f t="shared" si="3"/>
        <v>3.2640733148371517</v>
      </c>
      <c r="R64">
        <f>MIN($E$5,P64)</f>
        <v>56</v>
      </c>
    </row>
    <row r="65" spans="1:18" ht="12.75">
      <c r="A65">
        <v>1.75</v>
      </c>
      <c r="B65">
        <f>A65+$B$15*TAN($H$5*$H$6)</f>
        <v>1.75</v>
      </c>
      <c r="C65">
        <f>((A65+B65)/2*$B$10+$B$13+$B$14)</f>
        <v>80</v>
      </c>
      <c r="D65">
        <f>$B$20*$B$9*B65*B65*B65/6+$B$20*($B$13+$B$14)*B65*B65/2+$E$8*B65</f>
        <v>72.67361170771036</v>
      </c>
      <c r="E65">
        <f>D65/($B$10*A65*$B$15+($B$13+$B$14)*$B$15+$E$11)</f>
        <v>0.12977430662091136</v>
      </c>
      <c r="F65">
        <f>C65*$B$15/($B$15-2*E65)</f>
        <v>83.08048940166486</v>
      </c>
      <c r="G65">
        <f>$B$21</f>
        <v>0.33333334020890704</v>
      </c>
      <c r="H65">
        <f t="shared" si="4"/>
        <v>20.770122778835738</v>
      </c>
      <c r="I65">
        <f>IF($E$12&lt;A65,0,2*$E$8/$E$12*(1-A65/$E$12))*((A65-A64)/2+(A66-A65)/2)</f>
        <v>5.160254106335576</v>
      </c>
      <c r="J65">
        <f>G65*$E$11/(MIN(A65/2,$E$10)+$E$9+A65/2)*((A65-A64)/2+(A66-A65)/2)</f>
        <v>0</v>
      </c>
      <c r="K65">
        <f>$G$21*O65/$O$84</f>
        <v>1.4223207744588786</v>
      </c>
      <c r="L65" s="3">
        <f t="shared" si="1"/>
        <v>27.35269765963019</v>
      </c>
      <c r="M65">
        <f>$E$5</f>
        <v>56</v>
      </c>
      <c r="N65">
        <f t="shared" si="2"/>
        <v>2.0473300548578184</v>
      </c>
      <c r="O65" s="3">
        <f>$B$15-($B$5-A65)/TAN($H$5*(45+$B$7/2))</f>
        <v>2.2368600826896756</v>
      </c>
      <c r="P65">
        <f>2*(C65-$B$14)*O65*$B$11*TAN(3.1415/180*$B$7)</f>
        <v>131.7233829343766</v>
      </c>
      <c r="Q65">
        <f t="shared" si="3"/>
        <v>4.8157364430195475</v>
      </c>
      <c r="R65">
        <f>MIN($E$5,P65)</f>
        <v>56</v>
      </c>
    </row>
    <row r="66" spans="1:18" ht="12.75">
      <c r="A66">
        <v>2.5</v>
      </c>
      <c r="B66">
        <f>A66+$B$15*TAN($H$5*$H$6)</f>
        <v>2.5</v>
      </c>
      <c r="C66">
        <f>((A66+B66)/2*$B$10+$B$13+$B$14)</f>
        <v>95</v>
      </c>
      <c r="D66">
        <f>$B$20*$B$9*B66*B66*B66/6+$B$20*($B$13+$B$14)*B66*B66/2+$E$8*B66</f>
        <v>126.73611243609146</v>
      </c>
      <c r="E66">
        <f>D66/($B$10*A66*$B$15+($B$13+$B$14)*$B$15+$E$11)</f>
        <v>0.1905806202046488</v>
      </c>
      <c r="F66">
        <f>C66*$B$15/($B$15-2*E66)</f>
        <v>100.47079618557174</v>
      </c>
      <c r="G66">
        <f>$B$21</f>
        <v>0.33333334020890704</v>
      </c>
      <c r="H66">
        <f t="shared" si="4"/>
        <v>25.117699564488706</v>
      </c>
      <c r="I66">
        <f>IF($E$12&lt;A66,0,2*$E$8/$E$12*(1-A66/$E$12))*((A66-A65)/2+(A67-A66)/2)</f>
        <v>3.660253982575244</v>
      </c>
      <c r="J66">
        <f>G66*$E$11/(MIN(A66/2,$E$10)+$E$9+A66/2)*((A66-A65)/2+(A67-A66)/2)</f>
        <v>0</v>
      </c>
      <c r="K66">
        <f>$G$21*O66/$O$84</f>
        <v>1.69765448517207</v>
      </c>
      <c r="L66" s="3">
        <f t="shared" si="1"/>
        <v>30.47560803223602</v>
      </c>
      <c r="M66">
        <f>$E$5</f>
        <v>56</v>
      </c>
      <c r="N66">
        <f t="shared" si="2"/>
        <v>1.837535117946299</v>
      </c>
      <c r="O66" s="3">
        <f>$B$15-($B$5-A66)/TAN($H$5*(45+$B$7/2))</f>
        <v>2.669872802445159</v>
      </c>
      <c r="P66">
        <f>2*(C66-$B$14)*O66*$B$11*TAN(3.1415/180*$B$7)</f>
        <v>196.52809325454285</v>
      </c>
      <c r="Q66">
        <f t="shared" si="3"/>
        <v>6.4487013038972805</v>
      </c>
      <c r="R66">
        <f>MIN($E$5,P66)</f>
        <v>56</v>
      </c>
    </row>
    <row r="67" spans="1:18" ht="12.75">
      <c r="A67">
        <v>3.25</v>
      </c>
      <c r="B67">
        <f>A67+$B$15*TAN($H$5*$H$6)</f>
        <v>3.25</v>
      </c>
      <c r="C67">
        <f>((A67+B67)/2*$B$10+$B$13+$B$14)</f>
        <v>110</v>
      </c>
      <c r="D67">
        <f>$B$20*$B$9*B67*B67*B67/6+$B$20*($B$13+$B$14)*B67*B67/2+$E$8*B67</f>
        <v>198.61111353188602</v>
      </c>
      <c r="E67">
        <f>D67/($B$10*A67*$B$15+($B$13+$B$14)*$B$15+$E$11)</f>
        <v>0.25793651108037147</v>
      </c>
      <c r="F67">
        <f>C67*$B$15/($B$15-2*E67)</f>
        <v>118.75153010291471</v>
      </c>
      <c r="G67">
        <f>$B$21</f>
        <v>0.33333334020890704</v>
      </c>
      <c r="H67">
        <f t="shared" si="4"/>
        <v>29.687883138092353</v>
      </c>
      <c r="I67">
        <f>IF($E$12&lt;A67,0,2*$E$8/$E$12*(1-A67/$E$12))*((A67-A66)/2+(A68-A67)/2)</f>
        <v>2.1602538588149134</v>
      </c>
      <c r="J67">
        <f>G67*$E$11/(MIN(A67/2,$E$10)+$E$9+A67/2)*((A67-A66)/2+(A68-A67)/2)</f>
        <v>0</v>
      </c>
      <c r="K67">
        <f>$G$21*O67/$O$84</f>
        <v>1.9729881958852622</v>
      </c>
      <c r="L67" s="3">
        <f t="shared" si="1"/>
        <v>33.82112519279253</v>
      </c>
      <c r="M67">
        <f>$E$5</f>
        <v>56</v>
      </c>
      <c r="N67">
        <f t="shared" si="2"/>
        <v>1.6557698681158577</v>
      </c>
      <c r="O67" s="3">
        <f>$B$15-($B$5-A67)/TAN($H$5*(45+$B$7/2))</f>
        <v>3.1028855222006433</v>
      </c>
      <c r="P67">
        <f>2*(C67-$B$14)*O67*$B$11*TAN(3.1415/180*$B$7)</f>
        <v>274.08234940933806</v>
      </c>
      <c r="Q67">
        <f t="shared" si="3"/>
        <v>8.103880277399716</v>
      </c>
      <c r="R67">
        <f>MIN($E$5,P67)</f>
        <v>56</v>
      </c>
    </row>
    <row r="68" spans="1:18" ht="12.75">
      <c r="A68">
        <v>4</v>
      </c>
      <c r="B68">
        <f>A68+$B$15*TAN($H$5*$H$6)</f>
        <v>4</v>
      </c>
      <c r="C68">
        <f>((A68+B68)/2*$B$10+$B$13+$B$14)</f>
        <v>125</v>
      </c>
      <c r="D68">
        <f>$B$20*$B$9*B68*B68*B68/6+$B$20*($B$13+$B$14)*B68*B68/2+$E$8*B68</f>
        <v>291.1111150531067</v>
      </c>
      <c r="E68">
        <f>D68/($B$10*A68*$B$15+($B$13+$B$14)*$B$15+$E$11)</f>
        <v>0.3326984172035505</v>
      </c>
      <c r="F68">
        <f>C68*$B$15/($B$15-2*E68)</f>
        <v>138.13019965523014</v>
      </c>
      <c r="G68">
        <f>$B$21</f>
        <v>0.33333334020890704</v>
      </c>
      <c r="H68">
        <f t="shared" si="4"/>
        <v>34.532550626100814</v>
      </c>
      <c r="I68">
        <f>IF($E$12&lt;A68,0,2*$E$8/$E$12*(1-A68/$E$12))*((A68-A67)/2+(A69-A68)/2)</f>
        <v>0.660253735054583</v>
      </c>
      <c r="J68">
        <f>G68*$E$11/(MIN(A68/2,$E$10)+$E$9+A68/2)*((A68-A67)/2+(A69-A68)/2)</f>
        <v>0</v>
      </c>
      <c r="K68">
        <f>$G$21*O68/$O$84</f>
        <v>2.2483219065984543</v>
      </c>
      <c r="L68" s="3">
        <f t="shared" si="1"/>
        <v>37.44112626775385</v>
      </c>
      <c r="M68">
        <f>$E$5</f>
        <v>56</v>
      </c>
      <c r="N68">
        <f t="shared" si="2"/>
        <v>1.4956815027284573</v>
      </c>
      <c r="O68" s="3">
        <f>$B$15-($B$5-A68)/TAN($H$5*(45+$B$7/2))</f>
        <v>3.5358982419561276</v>
      </c>
      <c r="P68">
        <f>2*(C68-$B$14)*O68*$B$11*TAN(3.1415/180*$B$7)</f>
        <v>364.3861513987622</v>
      </c>
      <c r="Q68">
        <f t="shared" si="3"/>
        <v>9.732243330313212</v>
      </c>
      <c r="R68">
        <f>MIN($E$5,P68)</f>
        <v>56</v>
      </c>
    </row>
    <row r="69" spans="1:18" ht="12.75">
      <c r="A69">
        <v>4.75</v>
      </c>
      <c r="B69">
        <f>A69+$B$15*TAN($H$5*$H$6)</f>
        <v>4.75</v>
      </c>
      <c r="C69">
        <f>((A69+B69)/2*$B$10+$B$13+$B$14)</f>
        <v>140</v>
      </c>
      <c r="D69">
        <f>$B$20*$B$9*B69*B69*B69/6+$B$20*($B$13+$B$14)*B69*B69/2+$E$8*B69</f>
        <v>407.04861705776614</v>
      </c>
      <c r="E69">
        <f>D69/($B$10*A69*$B$15+($B$13+$B$14)*$B$15+$E$11)</f>
        <v>0.4153557316915981</v>
      </c>
      <c r="F69">
        <f>C69*$B$15/($B$15-2*E69)</f>
        <v>158.85138037933712</v>
      </c>
      <c r="G69">
        <f>$B$21</f>
        <v>0.33333334020890704</v>
      </c>
      <c r="H69">
        <f t="shared" si="4"/>
        <v>33.09403826165005</v>
      </c>
      <c r="I69">
        <f>IF($E$12&lt;A69,0,2*$E$8/$E$12*(1-A69/$E$12))*((A69-A68)/2+(A70-A69)/2)</f>
        <v>0</v>
      </c>
      <c r="J69">
        <f>G69*$E$11/(MIN(A69/2,$E$10)+$E$9+A69/2)*((A69-A68)/2+(A70-A69)/2)</f>
        <v>0</v>
      </c>
      <c r="K69">
        <f>$G$21*O69/$O$84</f>
        <v>2.5236556173116456</v>
      </c>
      <c r="L69" s="3">
        <f t="shared" si="1"/>
        <v>35.617693878961695</v>
      </c>
      <c r="M69">
        <f>$E$5</f>
        <v>56</v>
      </c>
      <c r="N69">
        <f t="shared" si="2"/>
        <v>1.5722522685017943</v>
      </c>
      <c r="O69" s="3">
        <f>$B$15-($B$5-A69)/TAN($H$5*(45+$B$7/2))</f>
        <v>3.9689109617116114</v>
      </c>
      <c r="P69">
        <f>2*(C69-$B$14)*O69*$B$11*TAN(3.1415/180*$B$7)</f>
        <v>467.4394992228151</v>
      </c>
      <c r="Q69">
        <f t="shared" si="3"/>
        <v>13.12380023286453</v>
      </c>
      <c r="R69">
        <f>MIN($E$5,P69)</f>
        <v>56</v>
      </c>
    </row>
    <row r="70" spans="1:18" ht="12.75">
      <c r="A70">
        <v>5.25</v>
      </c>
      <c r="B70">
        <f>A70+$B$15*TAN($H$5*$H$6)</f>
        <v>5.25</v>
      </c>
      <c r="C70">
        <f>((A70+B70)/2*$B$10+$B$13+$B$14)</f>
        <v>150</v>
      </c>
      <c r="D70">
        <f>$B$20*$B$9*B70*B70*B70/6+$B$20*($B$13+$B$14)*B70*B70/2+$E$8*B70</f>
        <v>498.75000758032</v>
      </c>
      <c r="E70">
        <f>D70/($B$10*A70*$B$15+($B$13+$B$14)*$B$15+$E$11)</f>
        <v>0.47500000721935237</v>
      </c>
      <c r="F70">
        <f>C70*$B$15/($B$15-2*E70)</f>
        <v>173.5537194224613</v>
      </c>
      <c r="G70">
        <f>$B$21</f>
        <v>0.33333334020890704</v>
      </c>
      <c r="H70">
        <f t="shared" si="4"/>
        <v>28.925620500384248</v>
      </c>
      <c r="I70">
        <f>IF($E$12&lt;A70,0,2*$E$8/$E$12*(1-A70/$E$12))*((A70-A69)/2+(A71-A70)/2)</f>
        <v>0</v>
      </c>
      <c r="J70">
        <f>G70*$E$11/(MIN(A70/2,$E$10)+$E$9+A70/2)*((A70-A69)/2+(A71-A70)/2)</f>
        <v>0</v>
      </c>
      <c r="K70">
        <f>$G$21*O70/$O$84</f>
        <v>2.7072114244537735</v>
      </c>
      <c r="L70" s="3">
        <f t="shared" si="1"/>
        <v>31.632831924838023</v>
      </c>
      <c r="M70">
        <f>$E$5</f>
        <v>56</v>
      </c>
      <c r="N70">
        <f t="shared" si="2"/>
        <v>1.7703125705931164</v>
      </c>
      <c r="O70" s="3">
        <f>$B$15-($B$5-A70)/TAN($H$5*(45+$B$7/2))</f>
        <v>4.257586108215268</v>
      </c>
      <c r="P70">
        <f>2*(C70-$B$14)*O70*$B$11*TAN(3.1415/180*$B$7)</f>
        <v>543.2248121247554</v>
      </c>
      <c r="Q70">
        <f t="shared" si="3"/>
        <v>17.17281631361676</v>
      </c>
      <c r="R70">
        <f>MIN($E$5,P70)</f>
        <v>56</v>
      </c>
    </row>
    <row r="71" spans="1:18" ht="12.75">
      <c r="A71">
        <v>5.75</v>
      </c>
      <c r="B71">
        <f>A71+$B$15*TAN($H$5*$H$6)</f>
        <v>5.75</v>
      </c>
      <c r="C71">
        <f>((A71+B71)/2*$B$10+$B$13+$B$14)</f>
        <v>160</v>
      </c>
      <c r="D71">
        <f>$B$20*$B$9*B71*B71*B71/6+$B$20*($B$13+$B$14)*B71*B71/2+$E$8*B71</f>
        <v>602.9513983607078</v>
      </c>
      <c r="E71">
        <f>D71/($B$10*A71*$B$15+($B$13+$B$14)*$B$15+$E$11)</f>
        <v>0.5383494628220605</v>
      </c>
      <c r="F71">
        <f>C71*$B$15/($B$15-2*E71)</f>
        <v>189.0837534578289</v>
      </c>
      <c r="G71">
        <f>$B$21</f>
        <v>0.33333334020890704</v>
      </c>
      <c r="H71">
        <f>G71*F71*((A71-A70)/2+(A72-A71)/2)</f>
        <v>31.51395955966779</v>
      </c>
      <c r="I71">
        <f>IF($E$12&lt;A71,0,2*$E$8/$E$12*(1-A71/$E$12))*((A71-A70)/2+(A72-A71)/2)</f>
        <v>0</v>
      </c>
      <c r="J71">
        <f>G71*$E$11/(MIN(A71/2,$E$10)+$E$9+A71/2)*((A71-A70)/2+(A72-A71)/2)</f>
        <v>0</v>
      </c>
      <c r="K71">
        <f>$G$21*O71/$O$84</f>
        <v>2.8907672315959014</v>
      </c>
      <c r="L71" s="3">
        <f t="shared" si="1"/>
        <v>34.40472679126369</v>
      </c>
      <c r="M71">
        <f>$E$5</f>
        <v>56</v>
      </c>
      <c r="N71">
        <f t="shared" si="2"/>
        <v>1.627683322113168</v>
      </c>
      <c r="O71" s="3">
        <f>$B$15-($B$5-A71)/TAN($H$5*(45+$B$7/2))</f>
        <v>4.546261254718924</v>
      </c>
      <c r="P71">
        <f>2*(C71-$B$14)*O71*$B$11*TAN(3.1415/180*$B$7)</f>
        <v>624.6765898420863</v>
      </c>
      <c r="Q71">
        <f t="shared" si="3"/>
        <v>18.156708339294497</v>
      </c>
      <c r="R71">
        <f>MIN($E$5,P71)</f>
        <v>56</v>
      </c>
    </row>
    <row r="72" spans="1:18" ht="12.75">
      <c r="A72">
        <v>6.25</v>
      </c>
      <c r="B72">
        <f>A72+$B$15*TAN($H$5*$H$6)</f>
        <v>6.25</v>
      </c>
      <c r="C72">
        <f>((A72+B72)/2*$B$10+$B$13+$B$14)</f>
        <v>170</v>
      </c>
      <c r="D72">
        <f>$B$20*$B$9*B72*B72*B72/6+$B$20*($B$13+$B$14)*B72*B72/2+$E$8*B72</f>
        <v>720.4861227494521</v>
      </c>
      <c r="E72">
        <f>D72/($B$10*A72*$B$15+($B$13+$B$14)*$B$15+$E$11)</f>
        <v>0.6054505233188673</v>
      </c>
      <c r="F72">
        <f>C72*$B$15/($B$15-2*E72)</f>
        <v>205.55875959053296</v>
      </c>
      <c r="G72">
        <f>$B$21</f>
        <v>0.33333334020890704</v>
      </c>
      <c r="H72">
        <f aca="true" t="shared" si="5" ref="H72:H78">G72*F72*((A72-A71)/2+(A73-A72)/2)</f>
        <v>34.259793971756025</v>
      </c>
      <c r="K72">
        <f>$G$21*O72/$O$84</f>
        <v>3.0743230387380294</v>
      </c>
      <c r="L72" s="3">
        <f t="shared" si="1"/>
        <v>37.334117010494055</v>
      </c>
      <c r="M72">
        <f>$E$5</f>
        <v>56</v>
      </c>
      <c r="N72">
        <f t="shared" si="2"/>
        <v>1.4999685136321625</v>
      </c>
      <c r="O72" s="3">
        <f>$B$15-($B$5-A72)/TAN($H$5*(45+$B$7/2))</f>
        <v>4.8349364012225795</v>
      </c>
      <c r="P72">
        <f>2*(C72-$B$14)*O72*$B$11*TAN(3.1415/180*$B$7)</f>
        <v>711.7948323748078</v>
      </c>
      <c r="R72">
        <f>MIN($E$5,P72)</f>
        <v>56</v>
      </c>
    </row>
    <row r="73" spans="1:18" ht="12.75">
      <c r="A73">
        <v>6.75</v>
      </c>
      <c r="B73">
        <f>A73+$B$15*TAN($H$5*$H$6)</f>
        <v>6.75</v>
      </c>
      <c r="C73">
        <f>((A73+B73)/2*$B$10+$B$13+$B$14)</f>
        <v>180</v>
      </c>
      <c r="D73">
        <f>$B$20*$B$9*B73*B73*B73/6+$B$20*($B$13+$B$14)*B73*B73/2+$E$8*B73</f>
        <v>852.1875140970747</v>
      </c>
      <c r="E73">
        <f>D73/($B$10*A73*$B$15+($B$13+$B$14)*$B$15+$E$11)</f>
        <v>0.6763392969024402</v>
      </c>
      <c r="F73">
        <f>C73*$B$15/($B$15-2*E73)</f>
        <v>223.11462538997304</v>
      </c>
      <c r="G73">
        <f>$B$21</f>
        <v>0.33333334020890704</v>
      </c>
      <c r="H73">
        <f t="shared" si="5"/>
        <v>37.185771665349364</v>
      </c>
      <c r="K73">
        <f>$G$21*O73/$O$84</f>
        <v>3.257878845880157</v>
      </c>
      <c r="L73" s="3">
        <f t="shared" si="1"/>
        <v>40.44365051122952</v>
      </c>
      <c r="M73">
        <f>$E$5</f>
        <v>56</v>
      </c>
      <c r="N73">
        <f t="shared" si="2"/>
        <v>1.3846425654492076</v>
      </c>
      <c r="O73" s="3">
        <f>$B$15-($B$5-A73)/TAN($H$5*(45+$B$7/2))</f>
        <v>5.123611547726235</v>
      </c>
      <c r="P73">
        <f>2*(C73-$B$14)*O73*$B$11*TAN(3.1415/180*$B$7)</f>
        <v>804.5795397229197</v>
      </c>
      <c r="R73">
        <f>MIN($E$5,P73)</f>
        <v>56</v>
      </c>
    </row>
    <row r="74" spans="1:18" ht="12.75">
      <c r="A74">
        <v>7.25</v>
      </c>
      <c r="B74">
        <f>A74+$B$15*TAN($H$5*$H$6)</f>
        <v>7.25</v>
      </c>
      <c r="C74">
        <f>((A74+B74)/2*$B$10+$B$13+$B$14)</f>
        <v>190</v>
      </c>
      <c r="D74">
        <f>$B$20*$B$9*B74*B74*B74/6+$B$20*($B$13+$B$14)*B74*B74/2+$E$8*B74</f>
        <v>998.8889057540982</v>
      </c>
      <c r="E74">
        <f>D74/($B$10*A74*$B$15+($B$13+$B$14)*$B$15+$E$11)</f>
        <v>0.7510442900406754</v>
      </c>
      <c r="F74">
        <f>C74*$B$15/($B$15-2*E74)</f>
        <v>241.91004518215382</v>
      </c>
      <c r="G74">
        <f>$B$21</f>
        <v>0.33333334020890704</v>
      </c>
      <c r="H74">
        <f t="shared" si="5"/>
        <v>40.318341695327476</v>
      </c>
      <c r="K74">
        <f>$G$21*O74/$O$84</f>
        <v>3.441434653022285</v>
      </c>
      <c r="L74" s="3">
        <f t="shared" si="1"/>
        <v>43.75977634834976</v>
      </c>
      <c r="M74">
        <f>$E$5</f>
        <v>56</v>
      </c>
      <c r="N74">
        <f t="shared" si="2"/>
        <v>1.2797140358810777</v>
      </c>
      <c r="O74" s="3">
        <f>$B$15-($B$5-A74)/TAN($H$5*(45+$B$7/2))</f>
        <v>5.412286694229891</v>
      </c>
      <c r="P74">
        <f>2*(C74-$B$14)*O74*$B$11*TAN(3.1415/180*$B$7)</f>
        <v>903.0307118864225</v>
      </c>
      <c r="R74">
        <f>MIN($E$5,P74)</f>
        <v>56</v>
      </c>
    </row>
    <row r="75" spans="1:18" ht="12.75">
      <c r="A75">
        <v>7.75</v>
      </c>
      <c r="B75">
        <f>A75+$B$15*TAN($H$5*$H$6)</f>
        <v>7.75</v>
      </c>
      <c r="C75">
        <f>((A75+B75)/2*$B$10+$B$13+$B$14)</f>
        <v>200</v>
      </c>
      <c r="D75">
        <f>$B$20*$B$9*B75*B75*B75/6+$B$20*($B$13+$B$14)*B75*B75/2+$E$8*B75</f>
        <v>1161.4236310710448</v>
      </c>
      <c r="E75">
        <f>D75/($B$10*A75*$B$15+($B$13+$B$14)*$B$15+$E$11)</f>
        <v>0.8295883079078892</v>
      </c>
      <c r="F75">
        <f>C75*$B$15/($B$15-2*E75)</f>
        <v>262.131866061293</v>
      </c>
      <c r="G75">
        <f>$B$21</f>
        <v>0.33333334020890704</v>
      </c>
      <c r="H75">
        <f t="shared" si="5"/>
        <v>43.688645244702315</v>
      </c>
      <c r="K75">
        <f>$G$21*O75/$O$84</f>
        <v>3.624990460164413</v>
      </c>
      <c r="L75" s="3">
        <f t="shared" si="1"/>
        <v>47.313635704866726</v>
      </c>
      <c r="M75">
        <f>$E$5</f>
        <v>56</v>
      </c>
      <c r="N75">
        <f t="shared" si="2"/>
        <v>1.1835911395462637</v>
      </c>
      <c r="O75" s="3">
        <f>$B$15-($B$5-A75)/TAN($H$5*(45+$B$7/2))</f>
        <v>5.700961840733548</v>
      </c>
      <c r="P75">
        <f>2*(C75-$B$14)*O75*$B$11*TAN(3.1415/180*$B$7)</f>
        <v>1007.1483488653157</v>
      </c>
      <c r="R75">
        <f>MIN($E$5,P75)</f>
        <v>56</v>
      </c>
    </row>
    <row r="76" spans="1:18" ht="12.75">
      <c r="A76">
        <v>8.25</v>
      </c>
      <c r="B76">
        <f>A76+$B$15*TAN($H$5*$H$6)</f>
        <v>8.25</v>
      </c>
      <c r="C76">
        <f>((A76+B76)/2*$B$10+$B$13+$B$14)</f>
        <v>210</v>
      </c>
      <c r="D76">
        <f>$B$20*$B$9*B76*B76*B76/6+$B$20*($B$13+$B$14)*B76*B76/2+$E$8*B76</f>
        <v>1340.6250233984367</v>
      </c>
      <c r="E76">
        <f>D76/($B$10*A76*$B$15+($B$13+$B$14)*$B$15+$E$11)</f>
        <v>0.9119898118356713</v>
      </c>
      <c r="F76">
        <f>C76*$B$15/($B$15-2*E76)</f>
        <v>284.0019731612163</v>
      </c>
      <c r="G76">
        <f>$B$21</f>
        <v>0.33333334020890704</v>
      </c>
      <c r="H76">
        <f t="shared" si="5"/>
        <v>47.3336631698743</v>
      </c>
      <c r="K76">
        <f>$G$21*O76/$O$84</f>
        <v>3.808546267306541</v>
      </c>
      <c r="L76" s="3">
        <f t="shared" si="1"/>
        <v>51.14220943718084</v>
      </c>
      <c r="M76">
        <f>$E$5</f>
        <v>56</v>
      </c>
      <c r="N76">
        <f t="shared" si="2"/>
        <v>1.0949859346375346</v>
      </c>
      <c r="O76" s="3">
        <f>$B$15-($B$5-A76)/TAN($H$5*(45+$B$7/2))</f>
        <v>5.989636987237204</v>
      </c>
      <c r="P76">
        <f>2*(C76-$B$14)*O76*$B$11*TAN(3.1415/180*$B$7)</f>
        <v>1116.9324506595997</v>
      </c>
      <c r="R76">
        <f>MIN($E$5,P76)</f>
        <v>56</v>
      </c>
    </row>
    <row r="77" spans="1:18" ht="12.75">
      <c r="A77">
        <v>8.75</v>
      </c>
      <c r="B77">
        <f>A77+$B$15*TAN($H$5*$H$6)</f>
        <v>8.75</v>
      </c>
      <c r="C77">
        <f>((A77+B77)/2*$B$10+$B$13+$B$14)</f>
        <v>220</v>
      </c>
      <c r="D77">
        <f>$B$20*$B$9*B77*B77*B77/6+$B$20*($B$13+$B$14)*B77*B77/2+$E$8*B77</f>
        <v>1537.3264160867964</v>
      </c>
      <c r="E77">
        <f>D77/($B$10*A77*$B$15+($B$13+$B$14)*$B$15+$E$11)</f>
        <v>0.9982639065498677</v>
      </c>
      <c r="F77">
        <f>C77*$B$15/($B$15-2*E77)</f>
        <v>307.7862617147985</v>
      </c>
      <c r="G77">
        <f>$B$21</f>
        <v>0.33333334020890704</v>
      </c>
      <c r="H77">
        <f t="shared" si="5"/>
        <v>51.297711343903316</v>
      </c>
      <c r="K77">
        <f>$G$21*O77/$O$84</f>
        <v>3.992102074448669</v>
      </c>
      <c r="L77" s="3">
        <f t="shared" si="1"/>
        <v>55.28981341835198</v>
      </c>
      <c r="M77">
        <f>$E$5</f>
        <v>56</v>
      </c>
      <c r="N77">
        <f t="shared" si="2"/>
        <v>1.0128447997513461</v>
      </c>
      <c r="O77" s="3">
        <f>$B$15-($B$5-A77)/TAN($H$5*(45+$B$7/2))</f>
        <v>6.27831213374086</v>
      </c>
      <c r="P77">
        <f>2*(C77-$B$14)*O77*$B$11*TAN(3.1415/180*$B$7)</f>
        <v>1232.3830172692742</v>
      </c>
      <c r="R77">
        <f>MIN($E$5,P77)</f>
        <v>56</v>
      </c>
    </row>
    <row r="78" spans="1:18" ht="12.75">
      <c r="A78">
        <v>9.25</v>
      </c>
      <c r="B78">
        <f>A78+$B$15*TAN($H$5*$H$6)</f>
        <v>9.25</v>
      </c>
      <c r="C78">
        <f>((A78+B78)/2*$B$10+$B$13+$B$14)</f>
        <v>230</v>
      </c>
      <c r="D78">
        <f>$B$20*$B$9*B78*B78*B78/6+$B$20*($B$13+$B$14)*B78*B78/2+$E$8*B78</f>
        <v>1752.3611424866458</v>
      </c>
      <c r="E78">
        <f>D78/($B$10*A78*$B$15+($B$13+$B$14)*$B$15+$E$11)</f>
        <v>1.088423069867482</v>
      </c>
      <c r="F78">
        <f>C78*$B$15/($B$15-2*E78)</f>
        <v>333.8064773889526</v>
      </c>
      <c r="G78">
        <f>$B$21</f>
        <v>0.33333334020890704</v>
      </c>
      <c r="H78">
        <f t="shared" si="5"/>
        <v>55.63441404571429</v>
      </c>
      <c r="K78">
        <f>$G$21*O78/$O$84</f>
        <v>4.175657881590796</v>
      </c>
      <c r="L78" s="3">
        <f t="shared" si="1"/>
        <v>59.81007192730508</v>
      </c>
      <c r="M78">
        <f>$E$5</f>
        <v>56</v>
      </c>
      <c r="N78">
        <f t="shared" si="2"/>
        <v>0.9362971518921436</v>
      </c>
      <c r="O78" s="3">
        <f>$B$15-($B$5-A78)/TAN($H$5*(45+$B$7/2))</f>
        <v>6.566987280244516</v>
      </c>
      <c r="P78">
        <f>2*(C78-$B$14)*O78*$B$11*TAN(3.1415/180*$B$7)</f>
        <v>1353.5000486943393</v>
      </c>
      <c r="R78">
        <f>MIN($E$5,P78)</f>
        <v>56</v>
      </c>
    </row>
    <row r="79" spans="1:18" ht="12.75">
      <c r="A79">
        <v>9.75</v>
      </c>
      <c r="B79">
        <f>A79+$B$15*TAN($H$5*$H$6)</f>
        <v>9.75</v>
      </c>
      <c r="C79">
        <f>((A79+B79)/2*$B$10+$B$13+$B$14)</f>
        <v>240</v>
      </c>
      <c r="D79">
        <f>$B$20*$B$9*B79*B79*B79/6+$B$20*($B$13+$B$14)*B79*B79/2+$E$8*B79</f>
        <v>1986.5625359485075</v>
      </c>
      <c r="E79">
        <f>D79/($B$10*A79*$B$15+($B$13+$B$14)*$B$15+$E$11)</f>
        <v>1.1824776999693496</v>
      </c>
      <c r="F79">
        <f>C79*$B$15/($B$15-2*E79)</f>
        <v>362.45605920982536</v>
      </c>
      <c r="G79">
        <f>$B$21</f>
        <v>0.33333334020890704</v>
      </c>
      <c r="H79">
        <f>G79*F79*((A79-A78)/2)</f>
        <v>30.204672223842117</v>
      </c>
      <c r="K79">
        <f>$G$21*O79/$O$84</f>
        <v>4.3592136887329245</v>
      </c>
      <c r="L79" s="3">
        <f t="shared" si="1"/>
        <v>34.56388591257504</v>
      </c>
      <c r="M79">
        <f>$E$5</f>
        <v>56</v>
      </c>
      <c r="N79">
        <f t="shared" si="2"/>
        <v>1.6201881970576135</v>
      </c>
      <c r="O79" s="3">
        <f>$B$15-($B$5-A79)/TAN($H$5*(45+$B$7/2))</f>
        <v>6.855662426748172</v>
      </c>
      <c r="P79">
        <f>2*(C79-$B$14)*O79*$B$11*TAN(3.1415/180*$B$7)</f>
        <v>1480.283544934795</v>
      </c>
      <c r="R79">
        <f>MIN($E$5,P79)</f>
        <v>56</v>
      </c>
    </row>
    <row r="80" spans="12:15" ht="12.75">
      <c r="L80" s="3"/>
      <c r="O80" s="3"/>
    </row>
    <row r="81" spans="12:15" ht="12.75">
      <c r="L81" s="3"/>
      <c r="O81" s="3"/>
    </row>
    <row r="82" spans="12:15" ht="12.75">
      <c r="L82" s="3"/>
      <c r="O82" s="3"/>
    </row>
    <row r="83" spans="12:15" ht="12.75">
      <c r="L83" s="3"/>
      <c r="O83" s="3"/>
    </row>
    <row r="84" spans="11:15" ht="12.75">
      <c r="K84">
        <f>SUM(K63:K83)</f>
        <v>47.21570696213797</v>
      </c>
      <c r="L84" s="3"/>
      <c r="O84" s="3">
        <f>SUM(O62:O83)</f>
        <v>74.2553522919333</v>
      </c>
    </row>
    <row r="85" spans="12:15" ht="12.75">
      <c r="L85" s="3"/>
      <c r="O85" s="3"/>
    </row>
    <row r="86" spans="12:15" ht="12.75">
      <c r="L86" s="3"/>
      <c r="O86" s="3"/>
    </row>
    <row r="87" spans="12:15" ht="12.75">
      <c r="L87" s="3"/>
      <c r="O87" s="3"/>
    </row>
    <row r="88" spans="12:15" ht="12.75">
      <c r="L88" s="3"/>
      <c r="O88" s="3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IIT MADRAS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Rajagopal</dc:creator>
  <cp:keywords/>
  <dc:description/>
  <cp:lastModifiedBy>RajagopalK</cp:lastModifiedBy>
  <dcterms:created xsi:type="dcterms:W3CDTF">2007-03-08T07:07:11Z</dcterms:created>
  <dcterms:modified xsi:type="dcterms:W3CDTF">2013-01-22T18:37:41Z</dcterms:modified>
  <cp:category/>
  <cp:version/>
  <cp:contentType/>
  <cp:contentStatus/>
</cp:coreProperties>
</file>